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sj\Desktop\"/>
    </mc:Choice>
  </mc:AlternateContent>
  <bookViews>
    <workbookView windowWidth="24000" windowHeight="9225"/>
  </bookViews>
  <sheets>
    <sheet name="Sheet1" sheetId="1" r:id="rId1"/>
  </sheets>
  <definedNames>
    <definedName name="_xlnm._FilterDatabase" localSheetId="0" hidden="1">Sheet1!$A$3:$Q$29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<sst xmlns="http://schemas.openxmlformats.org/spreadsheetml/2006/main" count="128" uniqueCount="101">
  <si>
    <t>附件：</t>
  </si>
  <si>
    <t>2026年度全椒县事业单位公开招聘工作人员拟聘用人员名单（第二批）</t>
  </si>
  <si>
    <t>序号</t>
  </si>
  <si>
    <t>主管部门</t>
  </si>
  <si>
    <t>招聘单位</t>
  </si>
  <si>
    <t>岗位名称</t>
  </si>
  <si>
    <t>岗位代码</t>
  </si>
  <si>
    <t>专业要求</t>
  </si>
  <si>
    <t>姓名</t>
  </si>
  <si>
    <t>性别</t>
  </si>
  <si>
    <t>出生年月</t>
  </si>
  <si>
    <t>毕业院校</t>
  </si>
  <si>
    <t>学历</t>
  </si>
  <si>
    <t>学位</t>
  </si>
  <si>
    <t>专业</t>
  </si>
  <si>
    <t>毕业时间</t>
  </si>
  <si>
    <t>准考证号码</t>
  </si>
  <si>
    <t>总成绩</t>
  </si>
  <si>
    <t>备注</t>
  </si>
  <si>
    <t>全椒县公共资源交易中心</t>
  </si>
  <si>
    <t>专业技术</t>
  </si>
  <si>
    <t>2026101</t>
  </si>
  <si>
    <t>本科：工程管理、工程造价；
研究生：工程管理、项目管理、管理科学与工程类</t>
  </si>
  <si>
    <t>全椒县招商合作中心</t>
  </si>
  <si>
    <t>2026102</t>
  </si>
  <si>
    <t>本科：金融学、财政学、会计学、会计、财务管理、审计学；
研究生：金融学、金融、财政学、会计学、会计、财务管理、审计学、审计</t>
  </si>
  <si>
    <t>全椒县人力资源和社会保障局</t>
  </si>
  <si>
    <t>全椒县劳动人事争议仲裁院</t>
  </si>
  <si>
    <t>管理</t>
  </si>
  <si>
    <t>2026113</t>
  </si>
  <si>
    <t>本科：中国语言文学类、法学类；
研究生：中国语言文学类、法学类、法律</t>
  </si>
  <si>
    <t>全椒县民政局</t>
  </si>
  <si>
    <t>全椒县殡仪馆</t>
  </si>
  <si>
    <t>2026114</t>
  </si>
  <si>
    <t>专科：现代殡葬技术与管理、殡葬设备维护技术；
本科：现代殡葬管理；
研究生：专业不限</t>
  </si>
  <si>
    <t>全椒县
财政局</t>
  </si>
  <si>
    <t>财政工程造价审核中心</t>
  </si>
  <si>
    <t>2026116</t>
  </si>
  <si>
    <t>本科：工程造价、土木工程；
研究生：管理科学与工程类、市政工程、土木工程</t>
  </si>
  <si>
    <t>全椒县住房和城乡建设局</t>
  </si>
  <si>
    <t>全椒县建设工程安全检测中心</t>
  </si>
  <si>
    <t>2026117</t>
  </si>
  <si>
    <t>本科：消防工程、给排水科学与工程；
研究生：土木工程类</t>
  </si>
  <si>
    <t>全椒县文旅局</t>
  </si>
  <si>
    <t>全椒县文化市场综合行政执法大队</t>
  </si>
  <si>
    <t>2026123</t>
  </si>
  <si>
    <t>本科：法学；
研究生：法学类、法律</t>
  </si>
  <si>
    <t>全椒县文化馆</t>
  </si>
  <si>
    <t>2026124</t>
  </si>
  <si>
    <t>本科：音乐与舞蹈学类、美术学类；
研究生：艺术学、音乐学、音乐、美术学、美术、舞蹈学、舞蹈、学科教学（音乐）、学科教学（美术）</t>
  </si>
  <si>
    <t>全椒县城市管理局</t>
  </si>
  <si>
    <t>全椒县城市管理综合行政执法大队</t>
  </si>
  <si>
    <t>2026130</t>
  </si>
  <si>
    <t>本科：工程管理；
研究生：工程管理类、管理科学与工程类</t>
  </si>
  <si>
    <t>2026132</t>
  </si>
  <si>
    <t>本科：艺术设计学、视觉传达设计、环境设计；
研究生：设计艺术学、艺术设计</t>
  </si>
  <si>
    <t>全椒县园林绿化管理所</t>
  </si>
  <si>
    <t>2026133</t>
  </si>
  <si>
    <t>本科：园林；
研究生：园林植物与观赏园艺</t>
  </si>
  <si>
    <t>全椒县自然资源和规划局</t>
  </si>
  <si>
    <t>全椒县自然资源和规划局二郎口所</t>
  </si>
  <si>
    <t>2026139</t>
  </si>
  <si>
    <t>本科：城乡规划、人居环境科学与技术；
研究生：城市规划与设计(含：风景园林规划与设计）、城市规划、城乡规划学、城乡规划</t>
  </si>
  <si>
    <t>全椒县林业发展中心</t>
  </si>
  <si>
    <t>2026141</t>
  </si>
  <si>
    <t>本科：林学、森林保护、经济林、智慧林业；
研究生：林学、智慧林业、森林培育、森林保护学、林业、经济林学</t>
  </si>
  <si>
    <t>全椒县水利局</t>
  </si>
  <si>
    <t>全椒县城乡供水工程管理总站</t>
  </si>
  <si>
    <t>2026145</t>
  </si>
  <si>
    <t>本科：水利水电工程，水务工程；
研究生：水利水电工程</t>
  </si>
  <si>
    <t>全椒县卫生健康委员会</t>
  </si>
  <si>
    <t>全椒县医疗发展服务中心</t>
  </si>
  <si>
    <t>2026146</t>
  </si>
  <si>
    <t>临床医学类</t>
  </si>
  <si>
    <t>全椒县疾病预防控制中心</t>
  </si>
  <si>
    <t>2026149</t>
  </si>
  <si>
    <t>本科:公共卫生与预防医学类；
研究生：公共卫生与预防医学类</t>
  </si>
  <si>
    <t>全椒县十字镇人民政府</t>
  </si>
  <si>
    <t>综合行政执法大队</t>
  </si>
  <si>
    <t>2026160</t>
  </si>
  <si>
    <t>本科：金融学、财务管理、会计学、会计、审计学、统计学类；
研究生：金融学、金融、财务管理、会计学、会计、审计学、审计、统计学、应用统计</t>
  </si>
  <si>
    <t>便民服务中心</t>
  </si>
  <si>
    <t>2026161</t>
  </si>
  <si>
    <t>全椒县六镇镇人民政府</t>
  </si>
  <si>
    <t>2026162</t>
  </si>
  <si>
    <t>本科：动物医学、兽医公共卫生；
研究生：兽医学类、兽医类</t>
  </si>
  <si>
    <t>全椒县古河镇人民政府</t>
  </si>
  <si>
    <t>2026169</t>
  </si>
  <si>
    <t>本科：人工智能、电子信息工程、电子科学与技术、数据科学与大数据技术；
研究生：电子信息类</t>
  </si>
  <si>
    <t>农业农村综合服务中心</t>
  </si>
  <si>
    <t>2026170</t>
  </si>
  <si>
    <t>本科：植物生产类、农业工程类 、动物医学、兽医公共卫生；
研究生：作物学类、园艺学类、农业资源利用类、植物保护类、农艺与种业、资源利用与植物保护、农业工程类、兽医学类、兽医类</t>
  </si>
  <si>
    <t>全椒县马厂镇人民政府</t>
  </si>
  <si>
    <t>2026172</t>
  </si>
  <si>
    <t>本科:金融学、财务管理、会计学、会计、审计学、统计学类；
研究生:金融学、金融、财务管理、会计学、会计、审计学、审计、统计学、应用统计</t>
  </si>
  <si>
    <t>文化和旅游服务中心</t>
  </si>
  <si>
    <t>2026173</t>
  </si>
  <si>
    <t>本科：网络与新媒体；
研究生：新闻传播学类、新闻与传播</t>
  </si>
  <si>
    <t>全椒县二郎口镇人民政府</t>
  </si>
  <si>
    <t>2026174</t>
  </si>
  <si>
    <t>本科：经济学类、财政学类、金融学类、经济与贸易类；
研究生：应用经济学类、金融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</si>
</sst>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$-F800]dddd\,\ mmmm\ dd\,\ yyyy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Protection="0"/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7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"/>
  <sheetViews>
    <sheetView tabSelected="1" workbookViewId="0">
      <pane ySplit="3" topLeftCell="A4" activePane="bottomLeft" state="frozen"/>
      <selection/>
      <selection pane="bottomLeft" activeCell="L3" sqref="L3"/>
    </sheetView>
  </sheetViews>
  <sheetFormatPr defaultColWidth="9" defaultRowHeight="13.5"/>
  <cols>
    <col min="1" max="1" width="9" style="4"/>
    <col min="2" max="2" width="15.25" style="4" customWidth="1"/>
    <col min="3" max="3" width="15.625" style="4" customWidth="1"/>
    <col min="4" max="4" width="9" style="4"/>
    <col min="5" max="5" width="11.875" style="2" customWidth="1"/>
    <col min="6" max="6" width="21.75" style="5" customWidth="1"/>
    <col min="7" max="7" width="9" style="2"/>
    <col min="8" max="8" width="7.125" style="2" customWidth="1"/>
    <col min="9" max="9" width="10" style="2" customWidth="1"/>
    <col min="10" max="10" width="16.625" style="6" customWidth="1"/>
    <col min="11" max="11" width="11.125" style="6" customWidth="1"/>
    <col min="12" max="12" width="7.375" style="6" customWidth="1"/>
    <col min="13" max="13" width="15" style="6" customWidth="1"/>
    <col min="14" max="14" width="9" style="2"/>
    <col min="15" max="15" width="18.375" style="2" customWidth="1"/>
    <col min="16" max="16" width="9" style="7"/>
    <col min="17" max="16384" width="9" style="4"/>
  </cols>
  <sheetData>
    <row r="1" ht="22" customHeight="1" spans="1:17">
      <c r="A1" s="4" t="s">
        <v>0</v>
      </c>
    </row>
    <row r="2" ht="40" customHeight="1" spans="1:17">
      <c r="A2" s="8" t="s">
        <v>1</v>
      </c>
      <c r="B2" s="8"/>
      <c r="C2" s="8"/>
      <c r="D2" s="8"/>
      <c r="E2" s="8"/>
      <c r="F2" s="9"/>
      <c r="G2" s="8"/>
      <c r="H2" s="8"/>
      <c r="I2" s="8"/>
      <c r="J2" s="10"/>
      <c r="K2" s="10"/>
      <c r="L2" s="10"/>
      <c r="M2" s="10"/>
      <c r="N2" s="8"/>
      <c r="O2" s="8"/>
      <c r="P2" s="11"/>
      <c r="Q2" s="8"/>
    </row>
    <row r="3" s="1" customFormat="1" ht="40" customHeight="1" spans="1:17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15" t="s">
        <v>14</v>
      </c>
      <c r="N3" s="15" t="s">
        <v>15</v>
      </c>
      <c r="O3" s="15" t="s">
        <v>16</v>
      </c>
      <c r="P3" s="16" t="s">
        <v>17</v>
      </c>
      <c r="Q3" s="16" t="s">
        <v>18</v>
      </c>
    </row>
    <row r="4" ht="84" customHeight="1" spans="1:17">
      <c r="A4" s="17">
        <v>1</v>
      </c>
      <c r="B4" s="18"/>
      <c r="C4" s="19" t="s">
        <v>19</v>
      </c>
      <c r="D4" s="20" t="s">
        <v>20</v>
      </c>
      <c r="E4" s="21" t="s">
        <v>21</v>
      </c>
      <c r="F4" s="22" t="s">
        <v>22</v>
      </c>
      <c r="G4" s="17" t="str">
        <f>"任瑶"</f>
        <v>任瑶</v>
      </c>
      <c r="H4" s="17" t="str">
        <f t="shared" ref="H4:H7" si="0">"女"</f>
        <v>女</v>
      </c>
      <c r="I4" s="17" t="str">
        <f>"1999-01"</f>
        <v>1999-01</v>
      </c>
      <c r="J4" s="23" t="str">
        <f>"山东建筑大学"</f>
        <v>山东建筑大学</v>
      </c>
      <c r="K4" s="23" t="str">
        <f t="shared" ref="K4:K6" si="1">"本科"</f>
        <v>本科</v>
      </c>
      <c r="L4" s="23" t="str">
        <f t="shared" ref="L4:L6" si="2">"学士"</f>
        <v>学士</v>
      </c>
      <c r="M4" s="23" t="str">
        <f>"工程造价"</f>
        <v>工程造价</v>
      </c>
      <c r="N4" s="17" t="str">
        <f>"2022-06"</f>
        <v>2022-06</v>
      </c>
      <c r="O4" s="17" t="str">
        <f>"202610300122"</f>
        <v>202610300122</v>
      </c>
      <c r="P4" s="24">
        <v>73.48</v>
      </c>
      <c r="Q4" s="17"/>
    </row>
    <row r="5" ht="111" customHeight="1" spans="1:17">
      <c r="A5" s="17">
        <v>2</v>
      </c>
      <c r="B5" s="18"/>
      <c r="C5" s="25" t="s">
        <v>23</v>
      </c>
      <c r="D5" s="20" t="s">
        <v>20</v>
      </c>
      <c r="E5" s="21" t="s">
        <v>24</v>
      </c>
      <c r="F5" s="22" t="s">
        <v>25</v>
      </c>
      <c r="G5" s="17" t="str">
        <f>"周靖妍"</f>
        <v>周靖妍</v>
      </c>
      <c r="H5" s="17" t="str">
        <f t="shared" si="0"/>
        <v>女</v>
      </c>
      <c r="I5" s="17" t="str">
        <f>"1996-07"</f>
        <v>1996-07</v>
      </c>
      <c r="J5" s="23" t="str">
        <f>"南京大学金陵学院"</f>
        <v>南京大学金陵学院</v>
      </c>
      <c r="K5" s="23" t="str">
        <f t="shared" si="1"/>
        <v>本科</v>
      </c>
      <c r="L5" s="23" t="str">
        <f t="shared" si="2"/>
        <v>学士</v>
      </c>
      <c r="M5" s="23" t="str">
        <f>"财务管理"</f>
        <v>财务管理</v>
      </c>
      <c r="N5" s="17" t="str">
        <f>"2019-11"</f>
        <v>2019-11</v>
      </c>
      <c r="O5" s="17" t="str">
        <f>"202610300414"</f>
        <v>202610300414</v>
      </c>
      <c r="P5" s="24">
        <v>74.51</v>
      </c>
      <c r="Q5" s="17"/>
    </row>
    <row r="6" ht="81" customHeight="1" spans="1:17">
      <c r="A6" s="17">
        <v>3</v>
      </c>
      <c r="B6" s="19" t="s">
        <v>26</v>
      </c>
      <c r="C6" s="19" t="s">
        <v>27</v>
      </c>
      <c r="D6" s="20" t="s">
        <v>28</v>
      </c>
      <c r="E6" s="21" t="s">
        <v>29</v>
      </c>
      <c r="F6" s="22" t="s">
        <v>30</v>
      </c>
      <c r="G6" s="17" t="str">
        <f>"徐婷婷"</f>
        <v>徐婷婷</v>
      </c>
      <c r="H6" s="17" t="str">
        <f t="shared" si="0"/>
        <v>女</v>
      </c>
      <c r="I6" s="17" t="str">
        <f>"2004-05"</f>
        <v>2004-05</v>
      </c>
      <c r="J6" s="23" t="str">
        <f>"滁州学院"</f>
        <v>滁州学院</v>
      </c>
      <c r="K6" s="23" t="str">
        <f t="shared" si="1"/>
        <v>本科</v>
      </c>
      <c r="L6" s="23" t="str">
        <f t="shared" si="2"/>
        <v>学士</v>
      </c>
      <c r="M6" s="23" t="str">
        <f>"汉语言文学（师范）"</f>
        <v>汉语言文学（师范）</v>
      </c>
      <c r="N6" s="17" t="str">
        <f>"2026-06"</f>
        <v>2026-06</v>
      </c>
      <c r="O6" s="17" t="str">
        <f>"202610301829"</f>
        <v>202610301829</v>
      </c>
      <c r="P6" s="24">
        <v>72.77</v>
      </c>
      <c r="Q6" s="17"/>
    </row>
    <row r="7" ht="98" customHeight="1" spans="1:17">
      <c r="A7" s="17">
        <v>4</v>
      </c>
      <c r="B7" s="25" t="s">
        <v>31</v>
      </c>
      <c r="C7" s="19" t="s">
        <v>32</v>
      </c>
      <c r="D7" s="20" t="s">
        <v>28</v>
      </c>
      <c r="E7" s="21" t="s">
        <v>33</v>
      </c>
      <c r="F7" s="22" t="s">
        <v>34</v>
      </c>
      <c r="G7" s="17" t="str">
        <f>"刘婧"</f>
        <v>刘婧</v>
      </c>
      <c r="H7" s="17" t="str">
        <f t="shared" si="0"/>
        <v>女</v>
      </c>
      <c r="I7" s="17" t="str">
        <f>"2001-12"</f>
        <v>2001-12</v>
      </c>
      <c r="J7" s="23" t="str">
        <f>"北京社会管理职业学院"</f>
        <v>北京社会管理职业学院</v>
      </c>
      <c r="K7" s="23" t="str">
        <f>"专科"</f>
        <v>专科</v>
      </c>
      <c r="L7" s="23" t="str">
        <f>"无"</f>
        <v>无</v>
      </c>
      <c r="M7" s="23" t="str">
        <f>"现代殡葬技术与管理"</f>
        <v>现代殡葬技术与管理</v>
      </c>
      <c r="N7" s="17" t="str">
        <f>"2023-06"</f>
        <v>2023-06</v>
      </c>
      <c r="O7" s="17" t="str">
        <f>"202610302123"</f>
        <v>202610302123</v>
      </c>
      <c r="P7" s="24">
        <v>68.7</v>
      </c>
      <c r="Q7" s="17"/>
    </row>
    <row r="8" ht="86" customHeight="1" spans="1:17">
      <c r="A8" s="17">
        <v>5</v>
      </c>
      <c r="B8" s="25" t="s">
        <v>35</v>
      </c>
      <c r="C8" s="19" t="s">
        <v>36</v>
      </c>
      <c r="D8" s="20" t="s">
        <v>20</v>
      </c>
      <c r="E8" s="21" t="s">
        <v>37</v>
      </c>
      <c r="F8" s="22" t="s">
        <v>38</v>
      </c>
      <c r="G8" s="17" t="str">
        <f>"赵润鑫"</f>
        <v>赵润鑫</v>
      </c>
      <c r="H8" s="17" t="str">
        <f>"男"</f>
        <v>男</v>
      </c>
      <c r="I8" s="17" t="str">
        <f>"2003-01"</f>
        <v>2003-01</v>
      </c>
      <c r="J8" s="23" t="str">
        <f>"河北地质大学"</f>
        <v>河北地质大学</v>
      </c>
      <c r="K8" s="23" t="str">
        <f t="shared" ref="K8:K11" si="3">"本科"</f>
        <v>本科</v>
      </c>
      <c r="L8" s="23" t="str">
        <f t="shared" ref="L8:L11" si="4">"学士"</f>
        <v>学士</v>
      </c>
      <c r="M8" s="23" t="str">
        <f>"土木工程"</f>
        <v>土木工程</v>
      </c>
      <c r="N8" s="17" t="str">
        <f>"2026-06"</f>
        <v>2026-06</v>
      </c>
      <c r="O8" s="17" t="str">
        <f>"202610302516"</f>
        <v>202610302516</v>
      </c>
      <c r="P8" s="24">
        <v>71.35</v>
      </c>
      <c r="Q8" s="17"/>
    </row>
    <row r="9" ht="70" customHeight="1" spans="1:17">
      <c r="A9" s="17">
        <v>6</v>
      </c>
      <c r="B9" s="19" t="s">
        <v>39</v>
      </c>
      <c r="C9" s="19" t="s">
        <v>40</v>
      </c>
      <c r="D9" s="20" t="s">
        <v>20</v>
      </c>
      <c r="E9" s="21" t="s">
        <v>41</v>
      </c>
      <c r="F9" s="22" t="s">
        <v>42</v>
      </c>
      <c r="G9" s="17" t="str">
        <f>"左清媛"</f>
        <v>左清媛</v>
      </c>
      <c r="H9" s="17" t="str">
        <f t="shared" ref="H9:H14" si="5">"女"</f>
        <v>女</v>
      </c>
      <c r="I9" s="17" t="str">
        <f>"1994-10"</f>
        <v>1994-10</v>
      </c>
      <c r="J9" s="23" t="str">
        <f>"河海大学"</f>
        <v>河海大学</v>
      </c>
      <c r="K9" s="23" t="str">
        <f>"硕士研究生"</f>
        <v>硕士研究生</v>
      </c>
      <c r="L9" s="23" t="str">
        <f>"硕士"</f>
        <v>硕士</v>
      </c>
      <c r="M9" s="23" t="str">
        <f>"土木工程（土木工程材料）"</f>
        <v>土木工程（土木工程材料）</v>
      </c>
      <c r="N9" s="17" t="str">
        <f>"2020-06"</f>
        <v>2020-06</v>
      </c>
      <c r="O9" s="17" t="str">
        <f>"202610302707"</f>
        <v>202610302707</v>
      </c>
      <c r="P9" s="24">
        <v>71.28</v>
      </c>
      <c r="Q9" s="17"/>
    </row>
    <row r="10" ht="56" customHeight="1" spans="1:17">
      <c r="A10" s="17">
        <v>7</v>
      </c>
      <c r="B10" s="19" t="s">
        <v>43</v>
      </c>
      <c r="C10" s="19" t="s">
        <v>44</v>
      </c>
      <c r="D10" s="20" t="s">
        <v>28</v>
      </c>
      <c r="E10" s="21" t="s">
        <v>45</v>
      </c>
      <c r="F10" s="22" t="s">
        <v>46</v>
      </c>
      <c r="G10" s="17" t="str">
        <f>"刘曼"</f>
        <v>刘曼</v>
      </c>
      <c r="H10" s="17" t="str">
        <f t="shared" si="5"/>
        <v>女</v>
      </c>
      <c r="I10" s="17" t="str">
        <f>"1993-09"</f>
        <v>1993-09</v>
      </c>
      <c r="J10" s="23" t="str">
        <f>"西南政法大学"</f>
        <v>西南政法大学</v>
      </c>
      <c r="K10" s="23" t="str">
        <f t="shared" si="3"/>
        <v>本科</v>
      </c>
      <c r="L10" s="23" t="str">
        <f t="shared" si="4"/>
        <v>学士</v>
      </c>
      <c r="M10" s="23" t="str">
        <f>"法学"</f>
        <v>法学</v>
      </c>
      <c r="N10" s="17" t="str">
        <f>"2015-07"</f>
        <v>2015-07</v>
      </c>
      <c r="O10" s="17" t="str">
        <f>"202610303214"</f>
        <v>202610303214</v>
      </c>
      <c r="P10" s="24">
        <v>71.67</v>
      </c>
      <c r="Q10" s="17"/>
    </row>
    <row r="11" ht="121" customHeight="1" spans="1:17">
      <c r="A11" s="17">
        <v>8</v>
      </c>
      <c r="B11" s="19"/>
      <c r="C11" s="19" t="s">
        <v>47</v>
      </c>
      <c r="D11" s="20" t="s">
        <v>20</v>
      </c>
      <c r="E11" s="21" t="s">
        <v>48</v>
      </c>
      <c r="F11" s="22" t="s">
        <v>49</v>
      </c>
      <c r="G11" s="17" t="str">
        <f>"于成梅"</f>
        <v>于成梅</v>
      </c>
      <c r="H11" s="17" t="str">
        <f t="shared" si="5"/>
        <v>女</v>
      </c>
      <c r="I11" s="17" t="str">
        <f>"2000-09"</f>
        <v>2000-09</v>
      </c>
      <c r="J11" s="23" t="str">
        <f>"安徽师范大学"</f>
        <v>安徽师范大学</v>
      </c>
      <c r="K11" s="23" t="str">
        <f t="shared" si="3"/>
        <v>本科</v>
      </c>
      <c r="L11" s="23" t="str">
        <f t="shared" si="4"/>
        <v>学士</v>
      </c>
      <c r="M11" s="23" t="str">
        <f>"舞蹈表演"</f>
        <v>舞蹈表演</v>
      </c>
      <c r="N11" s="17" t="str">
        <f>"2023-06"</f>
        <v>2023-06</v>
      </c>
      <c r="O11" s="17" t="str">
        <f>"202610303519"</f>
        <v>202610303519</v>
      </c>
      <c r="P11" s="24">
        <v>75.37</v>
      </c>
      <c r="Q11" s="17"/>
    </row>
    <row r="12" ht="69" customHeight="1" spans="1:17">
      <c r="A12" s="17">
        <v>9</v>
      </c>
      <c r="B12" s="26" t="s">
        <v>50</v>
      </c>
      <c r="C12" s="26" t="s">
        <v>51</v>
      </c>
      <c r="D12" s="20" t="s">
        <v>28</v>
      </c>
      <c r="E12" s="21" t="s">
        <v>52</v>
      </c>
      <c r="F12" s="27" t="s">
        <v>53</v>
      </c>
      <c r="G12" s="17" t="str">
        <f>"徐雨涵"</f>
        <v>徐雨涵</v>
      </c>
      <c r="H12" s="17" t="str">
        <f t="shared" si="5"/>
        <v>女</v>
      </c>
      <c r="I12" s="17" t="str">
        <f>"1998-05"</f>
        <v>1998-05</v>
      </c>
      <c r="J12" s="23" t="str">
        <f>"南京工业大学"</f>
        <v>南京工业大学</v>
      </c>
      <c r="K12" s="23" t="str">
        <f>"硕士研究生"</f>
        <v>硕士研究生</v>
      </c>
      <c r="L12" s="23" t="str">
        <f>"硕士"</f>
        <v>硕士</v>
      </c>
      <c r="M12" s="23" t="str">
        <f>"工业工程"</f>
        <v>工业工程</v>
      </c>
      <c r="N12" s="17" t="str">
        <f>"2022-06"</f>
        <v>2022-06</v>
      </c>
      <c r="O12" s="17" t="str">
        <f>"202610304818"</f>
        <v>202610304818</v>
      </c>
      <c r="P12" s="24">
        <v>73.23</v>
      </c>
      <c r="Q12" s="17"/>
    </row>
    <row r="13" ht="84" customHeight="1" spans="1:17">
      <c r="A13" s="17">
        <v>10</v>
      </c>
      <c r="B13" s="26"/>
      <c r="C13" s="26"/>
      <c r="D13" s="20" t="s">
        <v>28</v>
      </c>
      <c r="E13" s="21" t="s">
        <v>54</v>
      </c>
      <c r="F13" s="27" t="s">
        <v>55</v>
      </c>
      <c r="G13" s="17" t="str">
        <f>"鲍玲珺"</f>
        <v>鲍玲珺</v>
      </c>
      <c r="H13" s="17" t="str">
        <f t="shared" si="5"/>
        <v>女</v>
      </c>
      <c r="I13" s="17" t="str">
        <f>"2003-08"</f>
        <v>2003-08</v>
      </c>
      <c r="J13" s="23" t="str">
        <f>"安徽大学江淮学院"</f>
        <v>安徽大学江淮学院</v>
      </c>
      <c r="K13" s="23" t="str">
        <f t="shared" ref="K13:K17" si="6">"本科"</f>
        <v>本科</v>
      </c>
      <c r="L13" s="23" t="str">
        <f t="shared" ref="L13:L17" si="7">"学士"</f>
        <v>学士</v>
      </c>
      <c r="M13" s="23" t="str">
        <f>"环境设计"</f>
        <v>环境设计</v>
      </c>
      <c r="N13" s="17" t="str">
        <f>"2025-06"</f>
        <v>2025-06</v>
      </c>
      <c r="O13" s="17" t="str">
        <f>"202610305224"</f>
        <v>202610305224</v>
      </c>
      <c r="P13" s="24">
        <v>73.47</v>
      </c>
      <c r="Q13" s="17"/>
    </row>
    <row r="14" ht="67" customHeight="1" spans="1:17">
      <c r="A14" s="17">
        <v>11</v>
      </c>
      <c r="B14" s="26"/>
      <c r="C14" s="19" t="s">
        <v>56</v>
      </c>
      <c r="D14" s="20" t="s">
        <v>20</v>
      </c>
      <c r="E14" s="21" t="s">
        <v>57</v>
      </c>
      <c r="F14" s="22" t="s">
        <v>58</v>
      </c>
      <c r="G14" s="17" t="str">
        <f>"曹艳"</f>
        <v>曹艳</v>
      </c>
      <c r="H14" s="17" t="str">
        <f t="shared" si="5"/>
        <v>女</v>
      </c>
      <c r="I14" s="17" t="str">
        <f>"1998-08"</f>
        <v>1998-08</v>
      </c>
      <c r="J14" s="23" t="str">
        <f>"安徽农业大学经济技术学院"</f>
        <v>安徽农业大学经济技术学院</v>
      </c>
      <c r="K14" s="23" t="str">
        <f t="shared" si="6"/>
        <v>本科</v>
      </c>
      <c r="L14" s="23" t="str">
        <f t="shared" si="7"/>
        <v>学士</v>
      </c>
      <c r="M14" s="23" t="str">
        <f>"园林"</f>
        <v>园林</v>
      </c>
      <c r="N14" s="17" t="str">
        <f>"2021-06"</f>
        <v>2021-06</v>
      </c>
      <c r="O14" s="17" t="str">
        <f>"202610305428"</f>
        <v>202610305428</v>
      </c>
      <c r="P14" s="24">
        <v>70.08</v>
      </c>
      <c r="Q14" s="17"/>
    </row>
    <row r="15" ht="110" customHeight="1" spans="1:17">
      <c r="A15" s="17">
        <v>12</v>
      </c>
      <c r="B15" s="25" t="s">
        <v>59</v>
      </c>
      <c r="C15" s="19" t="s">
        <v>60</v>
      </c>
      <c r="D15" s="20" t="s">
        <v>28</v>
      </c>
      <c r="E15" s="21" t="s">
        <v>61</v>
      </c>
      <c r="F15" s="27" t="s">
        <v>62</v>
      </c>
      <c r="G15" s="17" t="str">
        <f>"张福龙"</f>
        <v>张福龙</v>
      </c>
      <c r="H15" s="17" t="str">
        <f t="shared" ref="H15:H18" si="8">"男"</f>
        <v>男</v>
      </c>
      <c r="I15" s="17" t="str">
        <f>"1993-08"</f>
        <v>1993-08</v>
      </c>
      <c r="J15" s="23" t="str">
        <f>"安徽建筑大学城市建设学院"</f>
        <v>安徽建筑大学城市建设学院</v>
      </c>
      <c r="K15" s="23" t="str">
        <f t="shared" si="6"/>
        <v>本科</v>
      </c>
      <c r="L15" s="23" t="str">
        <f t="shared" si="7"/>
        <v>学士</v>
      </c>
      <c r="M15" s="23" t="str">
        <f>"城市规划"</f>
        <v>城市规划</v>
      </c>
      <c r="N15" s="17" t="str">
        <f>"2017-07"</f>
        <v>2017-07</v>
      </c>
      <c r="O15" s="17" t="str">
        <f>"202610306127"</f>
        <v>202610306127</v>
      </c>
      <c r="P15" s="24">
        <v>68.41</v>
      </c>
      <c r="Q15" s="17"/>
    </row>
    <row r="16" ht="93" customHeight="1" spans="1:17">
      <c r="A16" s="17">
        <v>13</v>
      </c>
      <c r="B16" s="25"/>
      <c r="C16" s="19" t="s">
        <v>63</v>
      </c>
      <c r="D16" s="20" t="s">
        <v>20</v>
      </c>
      <c r="E16" s="21" t="s">
        <v>64</v>
      </c>
      <c r="F16" s="22" t="s">
        <v>65</v>
      </c>
      <c r="G16" s="17" t="str">
        <f>"刘臻"</f>
        <v>刘臻</v>
      </c>
      <c r="H16" s="17" t="str">
        <f t="shared" si="8"/>
        <v>男</v>
      </c>
      <c r="I16" s="17" t="str">
        <f>"1991-01"</f>
        <v>1991-01</v>
      </c>
      <c r="J16" s="23" t="str">
        <f>"南京林业大学"</f>
        <v>南京林业大学</v>
      </c>
      <c r="K16" s="23" t="str">
        <f t="shared" si="6"/>
        <v>本科</v>
      </c>
      <c r="L16" s="23" t="str">
        <f t="shared" si="7"/>
        <v>学士</v>
      </c>
      <c r="M16" s="23" t="str">
        <f>"林学"</f>
        <v>林学</v>
      </c>
      <c r="N16" s="17" t="str">
        <f>"2013-06"</f>
        <v>2013-06</v>
      </c>
      <c r="O16" s="17" t="str">
        <f>"202610306325"</f>
        <v>202610306325</v>
      </c>
      <c r="P16" s="24">
        <v>70.83</v>
      </c>
      <c r="Q16" s="17"/>
    </row>
    <row r="17" s="2" customFormat="1" ht="71" customHeight="1" spans="1:17">
      <c r="A17" s="17">
        <v>14</v>
      </c>
      <c r="B17" s="25" t="s">
        <v>66</v>
      </c>
      <c r="C17" s="25" t="s">
        <v>67</v>
      </c>
      <c r="D17" s="20" t="s">
        <v>20</v>
      </c>
      <c r="E17" s="21" t="s">
        <v>68</v>
      </c>
      <c r="F17" s="28" t="s">
        <v>69</v>
      </c>
      <c r="G17" s="17" t="str">
        <f>"潘若玙"</f>
        <v>潘若玙</v>
      </c>
      <c r="H17" s="17" t="str">
        <f>"女"</f>
        <v>女</v>
      </c>
      <c r="I17" s="17" t="str">
        <f>"1998-09"</f>
        <v>1998-09</v>
      </c>
      <c r="J17" s="23" t="str">
        <f>"河海大学"</f>
        <v>河海大学</v>
      </c>
      <c r="K17" s="23" t="str">
        <f t="shared" si="6"/>
        <v>本科</v>
      </c>
      <c r="L17" s="23" t="str">
        <f t="shared" si="7"/>
        <v>学士</v>
      </c>
      <c r="M17" s="23" t="str">
        <f>"水利水电工程"</f>
        <v>水利水电工程</v>
      </c>
      <c r="N17" s="17" t="str">
        <f>"2025-01"</f>
        <v>2025-01</v>
      </c>
      <c r="O17" s="17" t="str">
        <f>"202610306923"</f>
        <v>202610306923</v>
      </c>
      <c r="P17" s="24">
        <v>72.63</v>
      </c>
      <c r="Q17" s="29"/>
    </row>
    <row r="18" ht="51" customHeight="1" spans="1:17">
      <c r="A18" s="17">
        <v>15</v>
      </c>
      <c r="B18" s="25" t="s">
        <v>70</v>
      </c>
      <c r="C18" s="19" t="s">
        <v>71</v>
      </c>
      <c r="D18" s="30" t="s">
        <v>20</v>
      </c>
      <c r="E18" s="21" t="s">
        <v>72</v>
      </c>
      <c r="F18" s="22" t="s">
        <v>73</v>
      </c>
      <c r="G18" s="17" t="str">
        <f>"胡从忠"</f>
        <v>胡从忠</v>
      </c>
      <c r="H18" s="17" t="str">
        <f t="shared" si="8"/>
        <v>男</v>
      </c>
      <c r="I18" s="17" t="str">
        <f>"2000-08"</f>
        <v>2000-08</v>
      </c>
      <c r="J18" s="23" t="str">
        <f>"山西医科大学"</f>
        <v>山西医科大学</v>
      </c>
      <c r="K18" s="23" t="str">
        <f>"硕士研究生"</f>
        <v>硕士研究生</v>
      </c>
      <c r="L18" s="23" t="str">
        <f>"硕士"</f>
        <v>硕士</v>
      </c>
      <c r="M18" s="23" t="str">
        <f>"外科学"</f>
        <v>外科学</v>
      </c>
      <c r="N18" s="17" t="str">
        <f>"2026-06"</f>
        <v>2026-06</v>
      </c>
      <c r="O18" s="17" t="str">
        <f>"202610307030"</f>
        <v>202610307030</v>
      </c>
      <c r="P18" s="24">
        <v>70.01</v>
      </c>
      <c r="Q18" s="17"/>
    </row>
    <row r="19" ht="36" customHeight="1" spans="1:17">
      <c r="A19" s="17">
        <v>16</v>
      </c>
      <c r="B19" s="25"/>
      <c r="C19" s="19" t="s">
        <v>74</v>
      </c>
      <c r="D19" s="30" t="s">
        <v>20</v>
      </c>
      <c r="E19" s="21" t="s">
        <v>75</v>
      </c>
      <c r="F19" s="28" t="s">
        <v>76</v>
      </c>
      <c r="G19" s="17" t="str">
        <f>"孙梦瑶"</f>
        <v>孙梦瑶</v>
      </c>
      <c r="H19" s="17" t="str">
        <f>"女"</f>
        <v>女</v>
      </c>
      <c r="I19" s="17" t="str">
        <f>"2003-10"</f>
        <v>2003-10</v>
      </c>
      <c r="J19" s="23" t="str">
        <f>"宁波大学"</f>
        <v>宁波大学</v>
      </c>
      <c r="K19" s="23" t="str">
        <f t="shared" ref="K19:K25" si="9">"本科"</f>
        <v>本科</v>
      </c>
      <c r="L19" s="23" t="str">
        <f t="shared" ref="L19:L25" si="10">"学士"</f>
        <v>学士</v>
      </c>
      <c r="M19" s="23" t="str">
        <f>"预防医学"</f>
        <v>预防医学</v>
      </c>
      <c r="N19" s="17" t="str">
        <f>"2026-06"</f>
        <v>2026-06</v>
      </c>
      <c r="O19" s="17" t="str">
        <f>"202610307420"</f>
        <v>202610307420</v>
      </c>
      <c r="P19" s="24">
        <v>72.89</v>
      </c>
      <c r="Q19" s="17"/>
    </row>
    <row r="20" ht="36" customHeight="1" spans="1:17">
      <c r="A20" s="17">
        <v>17</v>
      </c>
      <c r="B20" s="25"/>
      <c r="C20" s="19"/>
      <c r="D20" s="30"/>
      <c r="E20" s="21"/>
      <c r="F20" s="28"/>
      <c r="G20" s="17" t="str">
        <f>"余新节"</f>
        <v>余新节</v>
      </c>
      <c r="H20" s="17" t="str">
        <f>"女"</f>
        <v>女</v>
      </c>
      <c r="I20" s="17" t="str">
        <f>"2003-03"</f>
        <v>2003-03</v>
      </c>
      <c r="J20" s="23" t="str">
        <f>"安徽医科大学"</f>
        <v>安徽医科大学</v>
      </c>
      <c r="K20" s="23" t="str">
        <f t="shared" si="9"/>
        <v>本科</v>
      </c>
      <c r="L20" s="23" t="str">
        <f t="shared" si="10"/>
        <v>学士</v>
      </c>
      <c r="M20" s="23" t="str">
        <f>"预防医学"</f>
        <v>预防医学</v>
      </c>
      <c r="N20" s="17" t="str">
        <f>"2026-06"</f>
        <v>2026-06</v>
      </c>
      <c r="O20" s="17" t="str">
        <f>"202610307424"</f>
        <v>202610307424</v>
      </c>
      <c r="P20" s="24">
        <v>72.03</v>
      </c>
      <c r="Q20" s="17"/>
    </row>
    <row r="21" ht="36" customHeight="1" spans="1:17">
      <c r="A21" s="17">
        <v>18</v>
      </c>
      <c r="B21" s="25"/>
      <c r="C21" s="19"/>
      <c r="D21" s="30"/>
      <c r="E21" s="21"/>
      <c r="F21" s="28"/>
      <c r="G21" s="17" t="str">
        <f>"王伟"</f>
        <v>王伟</v>
      </c>
      <c r="H21" s="17" t="str">
        <f t="shared" ref="H21:H25" si="11">"男"</f>
        <v>男</v>
      </c>
      <c r="I21" s="17" t="str">
        <f>"1999-05"</f>
        <v>1999-05</v>
      </c>
      <c r="J21" s="23" t="str">
        <f>"扬州大学"</f>
        <v>扬州大学</v>
      </c>
      <c r="K21" s="23" t="str">
        <f t="shared" si="9"/>
        <v>本科</v>
      </c>
      <c r="L21" s="23" t="str">
        <f t="shared" si="10"/>
        <v>学士</v>
      </c>
      <c r="M21" s="23" t="str">
        <f>"食品卫生与营养学"</f>
        <v>食品卫生与营养学</v>
      </c>
      <c r="N21" s="17" t="str">
        <f>"2023-06"</f>
        <v>2023-06</v>
      </c>
      <c r="O21" s="17" t="str">
        <f>"202610307512"</f>
        <v>202610307512</v>
      </c>
      <c r="P21" s="24">
        <v>71.23</v>
      </c>
      <c r="Q21" s="17"/>
    </row>
    <row r="22" ht="123" customHeight="1" spans="1:17">
      <c r="A22" s="17">
        <v>19</v>
      </c>
      <c r="B22" s="31" t="s">
        <v>77</v>
      </c>
      <c r="C22" s="19" t="s">
        <v>78</v>
      </c>
      <c r="D22" s="20" t="s">
        <v>20</v>
      </c>
      <c r="E22" s="21" t="s">
        <v>79</v>
      </c>
      <c r="F22" s="22" t="s">
        <v>80</v>
      </c>
      <c r="G22" s="17" t="str">
        <f>"陈然"</f>
        <v>陈然</v>
      </c>
      <c r="H22" s="17" t="str">
        <f t="shared" ref="H22:H26" si="12">"女"</f>
        <v>女</v>
      </c>
      <c r="I22" s="17" t="str">
        <f>"2001-08"</f>
        <v>2001-08</v>
      </c>
      <c r="J22" s="23" t="str">
        <f>"安庆师范大学"</f>
        <v>安庆师范大学</v>
      </c>
      <c r="K22" s="23" t="str">
        <f t="shared" si="9"/>
        <v>本科</v>
      </c>
      <c r="L22" s="23" t="str">
        <f t="shared" si="10"/>
        <v>学士</v>
      </c>
      <c r="M22" s="23" t="str">
        <f>"应用统计学"</f>
        <v>应用统计学</v>
      </c>
      <c r="N22" s="17" t="str">
        <f>"2023-07"</f>
        <v>2023-07</v>
      </c>
      <c r="O22" s="17" t="str">
        <f>"202610308710"</f>
        <v>202610308710</v>
      </c>
      <c r="P22" s="24">
        <v>74.64</v>
      </c>
      <c r="Q22" s="17"/>
    </row>
    <row r="23" ht="58" customHeight="1" spans="1:17">
      <c r="A23" s="17">
        <v>20</v>
      </c>
      <c r="B23" s="32"/>
      <c r="C23" s="19" t="s">
        <v>81</v>
      </c>
      <c r="D23" s="20" t="s">
        <v>28</v>
      </c>
      <c r="E23" s="21" t="s">
        <v>82</v>
      </c>
      <c r="F23" s="28" t="s">
        <v>46</v>
      </c>
      <c r="G23" s="17" t="str">
        <f>"戴春婷"</f>
        <v>戴春婷</v>
      </c>
      <c r="H23" s="17" t="str">
        <f t="shared" si="12"/>
        <v>女</v>
      </c>
      <c r="I23" s="17" t="str">
        <f>"1997-05"</f>
        <v>1997-05</v>
      </c>
      <c r="J23" s="23" t="str">
        <f>"青海民族大学"</f>
        <v>青海民族大学</v>
      </c>
      <c r="K23" s="23" t="str">
        <f t="shared" si="9"/>
        <v>本科</v>
      </c>
      <c r="L23" s="23" t="str">
        <f t="shared" si="10"/>
        <v>学士</v>
      </c>
      <c r="M23" s="23" t="str">
        <f>"法学"</f>
        <v>法学</v>
      </c>
      <c r="N23" s="17" t="str">
        <f>"2019-06"</f>
        <v>2019-06</v>
      </c>
      <c r="O23" s="17" t="str">
        <f>"202610308715"</f>
        <v>202610308715</v>
      </c>
      <c r="P23" s="24">
        <v>70.88</v>
      </c>
      <c r="Q23" s="17"/>
    </row>
    <row r="24" s="3" customFormat="1" ht="79" customHeight="1" spans="1:17">
      <c r="A24" s="33">
        <v>21</v>
      </c>
      <c r="B24" s="20" t="s">
        <v>83</v>
      </c>
      <c r="C24" s="20" t="s">
        <v>81</v>
      </c>
      <c r="D24" s="20" t="s">
        <v>20</v>
      </c>
      <c r="E24" s="21" t="s">
        <v>84</v>
      </c>
      <c r="F24" s="22" t="s">
        <v>85</v>
      </c>
      <c r="G24" s="29" t="str">
        <f>"郭学诚"</f>
        <v>郭学诚</v>
      </c>
      <c r="H24" s="29" t="str">
        <f t="shared" si="11"/>
        <v>男</v>
      </c>
      <c r="I24" s="29" t="str">
        <f>"2001-10"</f>
        <v>2001-10</v>
      </c>
      <c r="J24" s="34" t="str">
        <f>"安徽农业大学"</f>
        <v>安徽农业大学</v>
      </c>
      <c r="K24" s="34" t="str">
        <f t="shared" si="9"/>
        <v>本科</v>
      </c>
      <c r="L24" s="34" t="str">
        <f t="shared" si="10"/>
        <v>学士</v>
      </c>
      <c r="M24" s="34" t="str">
        <f>"动物医学"</f>
        <v>动物医学</v>
      </c>
      <c r="N24" s="29" t="str">
        <f>"2026-06"</f>
        <v>2026-06</v>
      </c>
      <c r="O24" s="29" t="str">
        <f>"202610308721"</f>
        <v>202610308721</v>
      </c>
      <c r="P24" s="24">
        <v>68.19</v>
      </c>
      <c r="Q24" s="33"/>
    </row>
    <row r="25" ht="96" customHeight="1" spans="1:17">
      <c r="A25" s="17">
        <v>22</v>
      </c>
      <c r="B25" s="19" t="s">
        <v>86</v>
      </c>
      <c r="C25" s="19" t="s">
        <v>81</v>
      </c>
      <c r="D25" s="20" t="s">
        <v>20</v>
      </c>
      <c r="E25" s="21" t="s">
        <v>87</v>
      </c>
      <c r="F25" s="28" t="s">
        <v>88</v>
      </c>
      <c r="G25" s="17" t="str">
        <f>"李中林"</f>
        <v>李中林</v>
      </c>
      <c r="H25" s="17" t="str">
        <f t="shared" si="11"/>
        <v>男</v>
      </c>
      <c r="I25" s="17" t="str">
        <f>"2003-02"</f>
        <v>2003-02</v>
      </c>
      <c r="J25" s="23" t="str">
        <f>"阜阳师范大学"</f>
        <v>阜阳师范大学</v>
      </c>
      <c r="K25" s="23" t="str">
        <f t="shared" si="9"/>
        <v>本科</v>
      </c>
      <c r="L25" s="23" t="str">
        <f t="shared" si="10"/>
        <v>学士</v>
      </c>
      <c r="M25" s="23" t="str">
        <f>"数据科学与大数据技术"</f>
        <v>数据科学与大数据技术</v>
      </c>
      <c r="N25" s="17" t="str">
        <f>"2025-06"</f>
        <v>2025-06</v>
      </c>
      <c r="O25" s="17" t="str">
        <f>"202610309411"</f>
        <v>202610309411</v>
      </c>
      <c r="P25" s="24">
        <v>70.1</v>
      </c>
      <c r="Q25" s="17"/>
    </row>
    <row r="26" ht="148" customHeight="1" spans="1:17">
      <c r="A26" s="17">
        <v>23</v>
      </c>
      <c r="B26" s="19"/>
      <c r="C26" s="19" t="s">
        <v>89</v>
      </c>
      <c r="D26" s="20" t="s">
        <v>20</v>
      </c>
      <c r="E26" s="21" t="s">
        <v>90</v>
      </c>
      <c r="F26" s="22" t="s">
        <v>91</v>
      </c>
      <c r="G26" s="17" t="str">
        <f>"殷彩君"</f>
        <v>殷彩君</v>
      </c>
      <c r="H26" s="17" t="str">
        <f t="shared" si="12"/>
        <v>女</v>
      </c>
      <c r="I26" s="17" t="str">
        <f>"1998-10"</f>
        <v>1998-10</v>
      </c>
      <c r="J26" s="23" t="str">
        <f>"华中农业大学"</f>
        <v>华中农业大学</v>
      </c>
      <c r="K26" s="23" t="str">
        <f>"硕士研究生"</f>
        <v>硕士研究生</v>
      </c>
      <c r="L26" s="23" t="str">
        <f>"硕士"</f>
        <v>硕士</v>
      </c>
      <c r="M26" s="23" t="str">
        <f>"作物遗传育种"</f>
        <v>作物遗传育种</v>
      </c>
      <c r="N26" s="17" t="str">
        <f>"2024-12"</f>
        <v>2024-12</v>
      </c>
      <c r="O26" s="17" t="str">
        <f>"202610309523"</f>
        <v>202610309523</v>
      </c>
      <c r="P26" s="24">
        <v>72.44</v>
      </c>
      <c r="Q26" s="17"/>
    </row>
    <row r="27" ht="124" customHeight="1" spans="1:17">
      <c r="A27" s="17">
        <v>24</v>
      </c>
      <c r="B27" s="19" t="s">
        <v>92</v>
      </c>
      <c r="C27" s="19" t="s">
        <v>81</v>
      </c>
      <c r="D27" s="20" t="s">
        <v>20</v>
      </c>
      <c r="E27" s="21" t="s">
        <v>93</v>
      </c>
      <c r="F27" s="27" t="s">
        <v>94</v>
      </c>
      <c r="G27" s="17" t="str">
        <f>"吴辰予"</f>
        <v>吴辰予</v>
      </c>
      <c r="H27" s="17" t="str">
        <f>"男"</f>
        <v>男</v>
      </c>
      <c r="I27" s="17" t="str">
        <f>"2004-02"</f>
        <v>2004-02</v>
      </c>
      <c r="J27" s="23" t="str">
        <f>"安徽大学"</f>
        <v>安徽大学</v>
      </c>
      <c r="K27" s="23" t="str">
        <f>"本科"</f>
        <v>本科</v>
      </c>
      <c r="L27" s="23" t="str">
        <f>"学士"</f>
        <v>学士</v>
      </c>
      <c r="M27" s="23" t="str">
        <f>"金融学"</f>
        <v>金融学</v>
      </c>
      <c r="N27" s="17" t="str">
        <f>"2026-07"</f>
        <v>2026-07</v>
      </c>
      <c r="O27" s="17" t="str">
        <f>"202610309716"</f>
        <v>202610309716</v>
      </c>
      <c r="P27" s="24">
        <v>71.81</v>
      </c>
      <c r="Q27" s="17"/>
    </row>
    <row r="28" ht="72" customHeight="1" spans="1:17">
      <c r="A28" s="17">
        <v>25</v>
      </c>
      <c r="B28" s="19"/>
      <c r="C28" s="19" t="s">
        <v>95</v>
      </c>
      <c r="D28" s="20" t="s">
        <v>20</v>
      </c>
      <c r="E28" s="21" t="s">
        <v>96</v>
      </c>
      <c r="F28" s="22" t="s">
        <v>97</v>
      </c>
      <c r="G28" s="17" t="str">
        <f>"魏章钰"</f>
        <v>魏章钰</v>
      </c>
      <c r="H28" s="17" t="str">
        <f>"女"</f>
        <v>女</v>
      </c>
      <c r="I28" s="17" t="str">
        <f>"2001-09"</f>
        <v>2001-09</v>
      </c>
      <c r="J28" s="23" t="str">
        <f>"郑州大学"</f>
        <v>郑州大学</v>
      </c>
      <c r="K28" s="23" t="str">
        <f>"硕士研究生"</f>
        <v>硕士研究生</v>
      </c>
      <c r="L28" s="23" t="str">
        <f>"硕士"</f>
        <v>硕士</v>
      </c>
      <c r="M28" s="23" t="str">
        <f>"新闻与传播"</f>
        <v>新闻与传播</v>
      </c>
      <c r="N28" s="17" t="str">
        <f>"2026-06"</f>
        <v>2026-06</v>
      </c>
      <c r="O28" s="17" t="str">
        <f>"202610309802"</f>
        <v>202610309802</v>
      </c>
      <c r="P28" s="24">
        <v>72.79</v>
      </c>
      <c r="Q28" s="17"/>
    </row>
    <row r="29" ht="94" customHeight="1" spans="1:17">
      <c r="A29" s="17">
        <v>26</v>
      </c>
      <c r="B29" s="25" t="s">
        <v>98</v>
      </c>
      <c r="C29" s="19" t="s">
        <v>81</v>
      </c>
      <c r="D29" s="20" t="s">
        <v>20</v>
      </c>
      <c r="E29" s="21" t="s">
        <v>99</v>
      </c>
      <c r="F29" s="22" t="s">
        <v>100</v>
      </c>
      <c r="G29" s="17" t="str">
        <f>"章瑜竹"</f>
        <v>章瑜竹</v>
      </c>
      <c r="H29" s="17" t="str">
        <f>"女"</f>
        <v>女</v>
      </c>
      <c r="I29" s="17" t="str">
        <f>"2002-05"</f>
        <v>2002-05</v>
      </c>
      <c r="J29" s="23" t="str">
        <f>"合肥工业大学"</f>
        <v>合肥工业大学</v>
      </c>
      <c r="K29" s="23" t="str">
        <f>"本科"</f>
        <v>本科</v>
      </c>
      <c r="L29" s="23" t="str">
        <f>"学士"</f>
        <v>学士</v>
      </c>
      <c r="M29" s="23" t="str">
        <f>"国际经济与贸易"</f>
        <v>国际经济与贸易</v>
      </c>
      <c r="N29" s="17" t="str">
        <f>"2024-06"</f>
        <v>2024-06</v>
      </c>
      <c r="O29" s="17" t="str">
        <f>"202610310017"</f>
        <v>202610310017</v>
      </c>
      <c r="P29" s="24">
        <v>73.38</v>
      </c>
      <c r="Q29" s="17"/>
    </row>
  </sheetData>
  <mergeCells count="13">
    <mergeCell ref="A2:Q2"/>
    <mergeCell ref="B10:B11"/>
    <mergeCell ref="B12:B14"/>
    <mergeCell ref="B15:B16"/>
    <mergeCell ref="B18:B21"/>
    <mergeCell ref="B22:B23"/>
    <mergeCell ref="B25:B26"/>
    <mergeCell ref="B27:B28"/>
    <mergeCell ref="C12:C13"/>
    <mergeCell ref="C19:C21"/>
    <mergeCell ref="D19:D21"/>
    <mergeCell ref="E19:E21"/>
    <mergeCell ref="F19:F2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      </cp:lastModifiedBy>
  <dcterms:created xsi:type="dcterms:W3CDTF">2026-06-29T01:33:00Z</dcterms:created>
  <dcterms:modified xsi:type="dcterms:W3CDTF">2026-08-06T07:44:22Z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D38D012F22FB4D589E04671BF62CE0F0_13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